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Calculator!$A$1:$J$39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<sst xmlns="http://schemas.openxmlformats.org/spreadsheetml/2006/main" count="58" uniqueCount="54">
  <si>
    <t xml:space="preserve">HOW TO USE: ORIFICE PLATE FLOW CALCULATOR (ISO 5167-2)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</si>
  <si>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</si>
  <si>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</si>
  <si>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</si>
  <si>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</si>
  <si>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measured pipe inside diameter and the orifice bore at operating temperature.</t>
  </si>
  <si>
    <t xml:space="preserve">2. Enter the DP in mbar and the liquid density and viscosity at flowing conditions.</t>
  </si>
  <si>
    <t xml:space="preserve">3. Choose the tapping arrangement; L1 and L2' follow automatically.</t>
  </si>
  <si>
    <t xml:space="preserve">4. The iteration table refines C and Re; the last row gives the result.</t>
  </si>
  <si>
    <t xml:space="preserve">5. Check that the ISO 5167-2 limits row shows OK.</t>
  </si>
  <si>
    <t xml:space="preserve">What the formulas do</t>
  </si>
  <si>
    <t xml:space="preserve">• β = d ÷ D, E = 1 ÷ √(1 − β⁴).</t>
  </si>
  <si>
    <t xml:space="preserve">• C from the Reader Harris/Gallagher equation (ISO 5167-2).</t>
  </si>
  <si>
    <t xml:space="preserve">• q&lt;sub&gt;m&lt;/sub&gt; = C × E × (π ÷ 4) × d² × √(2 × ΔP × ρ).</t>
  </si>
  <si>
    <t xml:space="preserve">• Re = 4 q&lt;sub&gt;m&lt;/sub&gt; ÷ (π μ D), fed back into C until it converges.</t>
  </si>
  <si>
    <t xml:space="preserve">Sheet "Calculator" holds a worked example: overwrite the yellow cells with your own data.</t>
  </si>
  <si>
    <t xml:space="preserve">Basis: ISO 5167-2:2003 Reader Harris/Gallagher equation for C and permanent pressure loss; liquid service (ε = 1).</t>
  </si>
  <si>
    <t xml:space="preserve">More free templates, calculators and tools: https://instrumentationblog.in/downloads/templates/</t>
  </si>
  <si>
    <t xml:space="preserve">ORIFICE PLATE FLOW CALCULATOR (ISO 5167-2)</t>
  </si>
  <si>
    <t xml:space="preserve">Project: Feed flow FE 3101</t>
  </si>
  <si>
    <t xml:space="preserve">Calc no: CALC FE 001      Rev: 0</t>
  </si>
  <si>
    <t xml:space="preserve">Yellow cells: enter data. Grey cells: calculated automatically. Free template from instrumentationblog.in</t>
  </si>
  <si>
    <t xml:space="preserve">Inputs</t>
  </si>
  <si>
    <t xml:space="preserve">Pipe inside diameter D (mm)</t>
  </si>
  <si>
    <t xml:space="preserve">Orifice bore d (mm)</t>
  </si>
  <si>
    <t xml:space="preserve">Differential pressure (mbar)</t>
  </si>
  <si>
    <t xml:space="preserve">Density ρ (kg/m³)</t>
  </si>
  <si>
    <t xml:space="preserve">Viscosity μ (cP = mPa·s)</t>
  </si>
  <si>
    <t xml:space="preserve">Pressure tappings</t>
  </si>
  <si>
    <t xml:space="preserve">Flange</t>
  </si>
  <si>
    <t xml:space="preserve">Geometry (calculated)</t>
  </si>
  <si>
    <t xml:space="preserve">Beta ratio β = d ÷ D</t>
  </si>
  <si>
    <t xml:space="preserve">Velocity of approach factor E</t>
  </si>
  <si>
    <t xml:space="preserve">L1 (upstream tap ÷ D)</t>
  </si>
  <si>
    <t xml:space="preserve">L2' (downstream tap ÷ D)</t>
  </si>
  <si>
    <t xml:space="preserve">M2' = 2 L2' ÷ (1 − β)</t>
  </si>
  <si>
    <t xml:space="preserve">Iteration of discharge coefficient C and Reynolds number</t>
  </si>
  <si>
    <t xml:space="preserve">Iteration</t>
  </si>
  <si>
    <t xml:space="preserve">Re (assumed)</t>
  </si>
  <si>
    <t xml:space="preserve">Discharge coefficient C</t>
  </si>
  <si>
    <t xml:space="preserve">Mass flow (kg/s)</t>
  </si>
  <si>
    <t xml:space="preserve">Re (calculated)</t>
  </si>
  <si>
    <t xml:space="preserve">Mass flow (kg/h)</t>
  </si>
  <si>
    <t xml:space="preserve">Volume flow (m³/h)</t>
  </si>
  <si>
    <t xml:space="preserve">Pipe Reynolds number</t>
  </si>
  <si>
    <t xml:space="preserve">Pipe velocity (m/s)</t>
  </si>
  <si>
    <t xml:space="preserve">Permanent pressure loss (mbar)</t>
  </si>
  <si>
    <t xml:space="preserve">ISO 5167-2 limits (β 0.1 to 0.75, D 50 to 1000 mm, d ≥ 12.5 mm, Re)</t>
  </si>
  <si>
    <t xml:space="preserve">For gas or steam add the expansibility factor ε; this sheet assumes an incompressible liquid. Iteration converges within a few steps for normal conditions.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</si>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</sst>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00"/>
    <numFmt numFmtId="166" formatCode="#,##0"/>
    <numFmt numFmtId="167" formatCode="0.00000"/>
    <numFmt numFmtId="168" formatCode="#,##0.0"/>
    <numFmt numFmtId="169" formatCode="0.000"/>
    <numFmt numFmtId="170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13"/>
    <col collapsed="false" customWidth="true" hidden="false" outlineLevel="0" max="10" min="6" style="0" width="12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0"/>
      <c r="F2" s="11" t="s">
        <v>20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22.35" hidden="false" customHeight="true" outlineLevel="0" collapsed="false">
      <c r="A6" s="14" t="s">
        <v>23</v>
      </c>
      <c r="B6" s="14"/>
      <c r="C6" s="15" t="n">
        <v>102.26</v>
      </c>
      <c r="D6" s="15"/>
      <c r="E6" s="15"/>
      <c r="F6" s="14" t="s">
        <v>24</v>
      </c>
      <c r="G6" s="14"/>
      <c r="H6" s="15" t="n">
        <v>63</v>
      </c>
      <c r="I6" s="15"/>
      <c r="J6" s="15"/>
    </row>
    <row r="7" customFormat="false" ht="15" hidden="false" customHeight="true" outlineLevel="0" collapsed="false">
      <c r="A7" s="14" t="s">
        <v>25</v>
      </c>
      <c r="B7" s="14"/>
      <c r="C7" s="15" t="n">
        <v>250</v>
      </c>
      <c r="D7" s="15"/>
      <c r="E7" s="15"/>
      <c r="F7" s="14" t="s">
        <v>26</v>
      </c>
      <c r="G7" s="14"/>
      <c r="H7" s="15" t="n">
        <v>998.2</v>
      </c>
      <c r="I7" s="15"/>
      <c r="J7" s="15"/>
    </row>
    <row r="8" customFormat="false" ht="15" hidden="false" customHeight="true" outlineLevel="0" collapsed="false">
      <c r="A8" s="14" t="s">
        <v>27</v>
      </c>
      <c r="B8" s="14"/>
      <c r="C8" s="15" t="n">
        <v>1.002</v>
      </c>
      <c r="D8" s="15"/>
      <c r="E8" s="15"/>
      <c r="F8" s="14" t="s">
        <v>28</v>
      </c>
      <c r="G8" s="14"/>
      <c r="H8" s="15" t="s">
        <v>29</v>
      </c>
      <c r="I8" s="15"/>
      <c r="J8" s="15"/>
    </row>
    <row r="10" customFormat="false" ht="15" hidden="false" customHeight="false" outlineLevel="0" collapsed="false">
      <c r="A10" s="13" t="s">
        <v>30</v>
      </c>
      <c r="B10" s="13"/>
      <c r="C10" s="13"/>
      <c r="D10" s="13"/>
      <c r="E10" s="13"/>
      <c r="F10" s="13"/>
      <c r="G10" s="13"/>
      <c r="H10" s="13"/>
      <c r="I10" s="13"/>
      <c r="J10" s="13"/>
    </row>
    <row r="11" customFormat="false" ht="15" hidden="false" customHeight="true" outlineLevel="0" collapsed="false">
      <c r="A11" s="14" t="s">
        <v>31</v>
      </c>
      <c r="B11" s="14"/>
      <c r="C11" s="16" t="n">
        <f aca="false">IF(OR($C$6="",$H$6=""),"",$H$6/$C$6)</f>
        <v>0.6160766673186</v>
      </c>
      <c r="D11" s="16"/>
      <c r="E11" s="16"/>
      <c r="F11" s="14" t="s">
        <v>32</v>
      </c>
      <c r="G11" s="14"/>
      <c r="H11" s="16" t="n">
        <f aca="false">IF($C$11="","",1/SQRT(1-$C$11^4))</f>
        <v>1.08088122050666</v>
      </c>
      <c r="I11" s="16"/>
      <c r="J11" s="16"/>
    </row>
    <row r="12" customFormat="false" ht="15" hidden="false" customHeight="true" outlineLevel="0" collapsed="false">
      <c r="A12" s="14" t="s">
        <v>33</v>
      </c>
      <c r="B12" s="14"/>
      <c r="C12" s="16" t="n">
        <f aca="false">IF($H$8="Corner",0,IF($H$8="D and D/2",1,25.4/$C$6))</f>
        <v>0.248386465871308</v>
      </c>
      <c r="D12" s="16"/>
      <c r="E12" s="16"/>
      <c r="F12" s="14" t="s">
        <v>34</v>
      </c>
      <c r="G12" s="14"/>
      <c r="H12" s="16" t="n">
        <f aca="false">IF($H$8="Corner",0,IF($H$8="D and D/2",0.47,25.4/$C$6))</f>
        <v>0.248386465871308</v>
      </c>
      <c r="I12" s="16"/>
      <c r="J12" s="16"/>
    </row>
    <row r="13" customFormat="false" ht="15" hidden="false" customHeight="true" outlineLevel="0" collapsed="false">
      <c r="A13" s="14" t="s">
        <v>35</v>
      </c>
      <c r="B13" s="14"/>
      <c r="C13" s="16" t="n">
        <f aca="false">IF($C$11="","",2*$H$12/(1-$C$11))</f>
        <v>1.29393785022924</v>
      </c>
      <c r="D13" s="16"/>
      <c r="E13" s="16"/>
    </row>
    <row r="15" customFormat="false" ht="15" hidden="false" customHeight="false" outlineLevel="0" collapsed="false">
      <c r="A15" s="13" t="s">
        <v>36</v>
      </c>
      <c r="B15" s="13"/>
      <c r="C15" s="13"/>
      <c r="D15" s="13"/>
      <c r="E15" s="13"/>
      <c r="F15" s="13"/>
      <c r="G15" s="13"/>
      <c r="H15" s="13"/>
      <c r="I15" s="13"/>
      <c r="J15" s="13"/>
    </row>
    <row r="16" customFormat="false" ht="30" hidden="false" customHeight="true" outlineLevel="0" collapsed="false">
      <c r="A16" s="17" t="s">
        <v>37</v>
      </c>
      <c r="B16" s="17" t="s">
        <v>38</v>
      </c>
      <c r="C16" s="17"/>
      <c r="D16" s="17" t="s">
        <v>39</v>
      </c>
      <c r="E16" s="17"/>
      <c r="F16" s="17" t="s">
        <v>40</v>
      </c>
      <c r="G16" s="17"/>
      <c r="H16" s="17" t="s">
        <v>41</v>
      </c>
      <c r="I16" s="17"/>
      <c r="J16" s="17"/>
    </row>
    <row r="17" customFormat="false" ht="15" hidden="false" customHeight="false" outlineLevel="0" collapsed="false">
      <c r="A17" s="18" t="n">
        <v>1</v>
      </c>
      <c r="B17" s="19" t="n">
        <f aca="false">1000000</f>
        <v>1000000</v>
      </c>
      <c r="C17" s="19"/>
      <c r="D17" s="20" t="n">
        <f aca="false">0.5961+0.0261*$C$11^2-0.216*$C$11^8+0.000521*(1000000*$C$11/B17)^0.7+(0.0188+0.0063*(19000*$C$11/B17)^0.8)*$C$11^3.5*(1000000/B17)^0.3+(0.043+0.08*EXP(-10*$C$12)-0.123*EXP(-7*$C$12))*(1-0.11*(19000*$C$11/B17)^0.8)*$C$11^4/(1-$C$11^4)-0.031*($C$13-0.8*$C$13^1.1)*$C$11^1.3+IF($C$6&lt;71.12,0.011*(0.75-$C$11)*(2.8-$C$6/25.4),0)</f>
        <v>0.606257810302561</v>
      </c>
      <c r="E17" s="20"/>
      <c r="F17" s="21" t="n">
        <f aca="false">D17*$H$11*PI()/4*($H$6/1000)^2*SQRT(2*$C$7*100*$H$7)</f>
        <v>14.4311214997868</v>
      </c>
      <c r="G17" s="21"/>
      <c r="H17" s="19" t="n">
        <f aca="false">4*F17/(PI()*$C$8/1000*$C$6/1000)</f>
        <v>179323.287401398</v>
      </c>
      <c r="I17" s="19"/>
      <c r="J17" s="19"/>
    </row>
    <row r="18" customFormat="false" ht="15" hidden="false" customHeight="false" outlineLevel="0" collapsed="false">
      <c r="A18" s="18" t="n">
        <v>2</v>
      </c>
      <c r="B18" s="19" t="n">
        <f aca="false">H17</f>
        <v>179323.287401398</v>
      </c>
      <c r="C18" s="19"/>
      <c r="D18" s="20" t="n">
        <f aca="false">0.5961+0.0261*$C$11^2-0.216*$C$11^8+0.000521*(1000000*$C$11/B18)^0.7+(0.0188+0.0063*(19000*$C$11/B18)^0.8)*$C$11^3.5*(1000000/B18)^0.3+(0.043+0.08*EXP(-10*$C$12)-0.123*EXP(-7*$C$12))*(1-0.11*(19000*$C$11/B18)^0.8)*$C$11^4/(1-$C$11^4)-0.031*($C$13-0.8*$C$13^1.1)*$C$11^1.3+IF($C$6&lt;71.12,0.011*(0.75-$C$11)*(2.8-$C$6/25.4),0)</f>
        <v>0.609591840610878</v>
      </c>
      <c r="E18" s="20"/>
      <c r="F18" s="21" t="n">
        <f aca="false">D18*$H$11*PI()/4*($H$6/1000)^2*SQRT(2*$C$7*100*$H$7)</f>
        <v>14.5104834406075</v>
      </c>
      <c r="G18" s="21"/>
      <c r="H18" s="19" t="n">
        <f aca="false">4*F18/(PI()*$C$8/1000*$C$6/1000)</f>
        <v>180309.450820695</v>
      </c>
      <c r="I18" s="19"/>
      <c r="J18" s="19"/>
    </row>
    <row r="19" customFormat="false" ht="15" hidden="false" customHeight="false" outlineLevel="0" collapsed="false">
      <c r="A19" s="18" t="n">
        <v>3</v>
      </c>
      <c r="B19" s="19" t="n">
        <f aca="false">H18</f>
        <v>180309.450820695</v>
      </c>
      <c r="C19" s="19"/>
      <c r="D19" s="20" t="n">
        <f aca="false">0.5961+0.0261*$C$11^2-0.216*$C$11^8+0.000521*(1000000*$C$11/B19)^0.7+(0.0188+0.0063*(19000*$C$11/B19)^0.8)*$C$11^3.5*(1000000/B19)^0.3+(0.043+0.08*EXP(-10*$C$12)-0.123*EXP(-7*$C$12))*(1-0.11*(19000*$C$11/B19)^0.8)*$C$11^4/(1-$C$11^4)-0.031*($C$13-0.8*$C$13^1.1)*$C$11^1.3+IF($C$6&lt;71.12,0.011*(0.75-$C$11)*(2.8-$C$6/25.4),0)</f>
        <v>0.609576549674084</v>
      </c>
      <c r="E19" s="20"/>
      <c r="F19" s="21" t="n">
        <f aca="false">D19*$H$11*PI()/4*($H$6/1000)^2*SQRT(2*$C$7*100*$H$7)</f>
        <v>14.5101194611865</v>
      </c>
      <c r="G19" s="21"/>
      <c r="H19" s="19" t="n">
        <f aca="false">4*F19/(PI()*$C$8/1000*$C$6/1000)</f>
        <v>180304.927957638</v>
      </c>
      <c r="I19" s="19"/>
      <c r="J19" s="19"/>
    </row>
    <row r="20" customFormat="false" ht="15" hidden="false" customHeight="false" outlineLevel="0" collapsed="false">
      <c r="A20" s="18" t="n">
        <v>4</v>
      </c>
      <c r="B20" s="19" t="n">
        <f aca="false">H19</f>
        <v>180304.927957638</v>
      </c>
      <c r="C20" s="19"/>
      <c r="D20" s="20" t="n">
        <f aca="false">0.5961+0.0261*$C$11^2-0.216*$C$11^8+0.000521*(1000000*$C$11/B20)^0.7+(0.0188+0.0063*(19000*$C$11/B20)^0.8)*$C$11^3.5*(1000000/B20)^0.3+(0.043+0.08*EXP(-10*$C$12)-0.123*EXP(-7*$C$12))*(1-0.11*(19000*$C$11/B20)^0.8)*$C$11^4/(1-$C$11^4)-0.031*($C$13-0.8*$C$13^1.1)*$C$11^1.3+IF($C$6&lt;71.12,0.011*(0.75-$C$11)*(2.8-$C$6/25.4),0)</f>
        <v>0.609576619519792</v>
      </c>
      <c r="E20" s="20"/>
      <c r="F20" s="21" t="n">
        <f aca="false">D20*$H$11*PI()/4*($H$6/1000)^2*SQRT(2*$C$7*100*$H$7)</f>
        <v>14.5101211237662</v>
      </c>
      <c r="G20" s="21"/>
      <c r="H20" s="19" t="n">
        <f aca="false">4*F20/(PI()*$C$8/1000*$C$6/1000)</f>
        <v>180304.948617103</v>
      </c>
      <c r="I20" s="19"/>
      <c r="J20" s="19"/>
    </row>
    <row r="21" customFormat="false" ht="15" hidden="false" customHeight="false" outlineLevel="0" collapsed="false">
      <c r="A21" s="18" t="n">
        <v>5</v>
      </c>
      <c r="B21" s="19" t="n">
        <f aca="false">H20</f>
        <v>180304.948617103</v>
      </c>
      <c r="C21" s="19"/>
      <c r="D21" s="20" t="n">
        <f aca="false">0.5961+0.0261*$C$11^2-0.216*$C$11^8+0.000521*(1000000*$C$11/B21)^0.7+(0.0188+0.0063*(19000*$C$11/B21)^0.8)*$C$11^3.5*(1000000/B21)^0.3+(0.043+0.08*EXP(-10*$C$12)-0.123*EXP(-7*$C$12))*(1-0.11*(19000*$C$11/B21)^0.8)*$C$11^4/(1-$C$11^4)-0.031*($C$13-0.8*$C$13^1.1)*$C$11^1.3+IF($C$6&lt;71.12,0.011*(0.75-$C$11)*(2.8-$C$6/25.4),0)</f>
        <v>0.609576619200746</v>
      </c>
      <c r="E21" s="20"/>
      <c r="F21" s="21" t="n">
        <f aca="false">D21*$H$11*PI()/4*($H$6/1000)^2*SQRT(2*$C$7*100*$H$7)</f>
        <v>14.5101211161717</v>
      </c>
      <c r="G21" s="21"/>
      <c r="H21" s="19" t="n">
        <f aca="false">4*F21/(PI()*$C$8/1000*$C$6/1000)</f>
        <v>180304.948522733</v>
      </c>
      <c r="I21" s="19"/>
      <c r="J21" s="19"/>
    </row>
    <row r="22" customFormat="false" ht="15" hidden="false" customHeight="false" outlineLevel="0" collapsed="false">
      <c r="A22" s="18" t="n">
        <v>6</v>
      </c>
      <c r="B22" s="19" t="n">
        <f aca="false">H21</f>
        <v>180304.948522733</v>
      </c>
      <c r="C22" s="19"/>
      <c r="D22" s="20" t="n">
        <f aca="false">0.5961+0.0261*$C$11^2-0.216*$C$11^8+0.000521*(1000000*$C$11/B22)^0.7+(0.0188+0.0063*(19000*$C$11/B22)^0.8)*$C$11^3.5*(1000000/B22)^0.3+(0.043+0.08*EXP(-10*$C$12)-0.123*EXP(-7*$C$12))*(1-0.11*(19000*$C$11/B22)^0.8)*$C$11^4/(1-$C$11^4)-0.031*($C$13-0.8*$C$13^1.1)*$C$11^1.3+IF($C$6&lt;71.12,0.011*(0.75-$C$11)*(2.8-$C$6/25.4),0)</f>
        <v>0.609576619202203</v>
      </c>
      <c r="E22" s="20"/>
      <c r="F22" s="21" t="n">
        <f aca="false">D22*$H$11*PI()/4*($H$6/1000)^2*SQRT(2*$C$7*100*$H$7)</f>
        <v>14.5101211162064</v>
      </c>
      <c r="G22" s="21"/>
      <c r="H22" s="19" t="n">
        <f aca="false">4*F22/(PI()*$C$8/1000*$C$6/1000)</f>
        <v>180304.948523164</v>
      </c>
      <c r="I22" s="19"/>
      <c r="J22" s="19"/>
    </row>
    <row r="23" customFormat="false" ht="15" hidden="false" customHeight="false" outlineLevel="0" collapsed="false">
      <c r="A23" s="18" t="n">
        <v>7</v>
      </c>
      <c r="B23" s="19" t="n">
        <f aca="false">H22</f>
        <v>180304.948523164</v>
      </c>
      <c r="C23" s="19"/>
      <c r="D23" s="20" t="n">
        <f aca="false">0.5961+0.0261*$C$11^2-0.216*$C$11^8+0.000521*(1000000*$C$11/B23)^0.7+(0.0188+0.0063*(19000*$C$11/B23)^0.8)*$C$11^3.5*(1000000/B23)^0.3+(0.043+0.08*EXP(-10*$C$12)-0.123*EXP(-7*$C$12))*(1-0.11*(19000*$C$11/B23)^0.8)*$C$11^4/(1-$C$11^4)-0.031*($C$13-0.8*$C$13^1.1)*$C$11^1.3+IF($C$6&lt;71.12,0.011*(0.75-$C$11)*(2.8-$C$6/25.4),0)</f>
        <v>0.609576619202197</v>
      </c>
      <c r="E23" s="20"/>
      <c r="F23" s="21" t="n">
        <f aca="false">D23*$H$11*PI()/4*($H$6/1000)^2*SQRT(2*$C$7*100*$H$7)</f>
        <v>14.5101211162063</v>
      </c>
      <c r="G23" s="21"/>
      <c r="H23" s="19" t="n">
        <f aca="false">4*F23/(PI()*$C$8/1000*$C$6/1000)</f>
        <v>180304.948523162</v>
      </c>
      <c r="I23" s="19"/>
      <c r="J23" s="19"/>
    </row>
    <row r="24" customFormat="false" ht="15" hidden="false" customHeight="false" outlineLevel="0" collapsed="false">
      <c r="A24" s="18" t="n">
        <v>8</v>
      </c>
      <c r="B24" s="19" t="n">
        <f aca="false">H23</f>
        <v>180304.948523162</v>
      </c>
      <c r="C24" s="19"/>
      <c r="D24" s="20" t="n">
        <f aca="false">0.5961+0.0261*$C$11^2-0.216*$C$11^8+0.000521*(1000000*$C$11/B24)^0.7+(0.0188+0.0063*(19000*$C$11/B24)^0.8)*$C$11^3.5*(1000000/B24)^0.3+(0.043+0.08*EXP(-10*$C$12)-0.123*EXP(-7*$C$12))*(1-0.11*(19000*$C$11/B24)^0.8)*$C$11^4/(1-$C$11^4)-0.031*($C$13-0.8*$C$13^1.1)*$C$11^1.3+IF($C$6&lt;71.12,0.011*(0.75-$C$11)*(2.8-$C$6/25.4),0)</f>
        <v>0.609576619202197</v>
      </c>
      <c r="E24" s="20"/>
      <c r="F24" s="21" t="n">
        <f aca="false">D24*$H$11*PI()/4*($H$6/1000)^2*SQRT(2*$C$7*100*$H$7)</f>
        <v>14.5101211162063</v>
      </c>
      <c r="G24" s="21"/>
      <c r="H24" s="19" t="n">
        <f aca="false">4*F24/(PI()*$C$8/1000*$C$6/1000)</f>
        <v>180304.948523162</v>
      </c>
      <c r="I24" s="19"/>
      <c r="J24" s="19"/>
    </row>
    <row r="25" customFormat="false" ht="15" hidden="false" customHeight="false" outlineLevel="0" collapsed="false">
      <c r="A25" s="22" t="s">
        <v>39</v>
      </c>
      <c r="B25" s="22"/>
      <c r="C25" s="22"/>
      <c r="D25" s="22"/>
      <c r="E25" s="22"/>
      <c r="F25" s="22"/>
      <c r="G25" s="22"/>
      <c r="H25" s="22"/>
      <c r="I25" s="23" t="n">
        <f aca="false">D24</f>
        <v>0.609576619202197</v>
      </c>
      <c r="J25" s="23"/>
    </row>
    <row r="26" customFormat="false" ht="15" hidden="false" customHeight="false" outlineLevel="0" collapsed="false">
      <c r="A26" s="22" t="s">
        <v>42</v>
      </c>
      <c r="B26" s="22"/>
      <c r="C26" s="22"/>
      <c r="D26" s="22"/>
      <c r="E26" s="22"/>
      <c r="F26" s="22"/>
      <c r="G26" s="22"/>
      <c r="H26" s="22"/>
      <c r="I26" s="24" t="n">
        <f aca="false">F24*3600</f>
        <v>52236.4360183426</v>
      </c>
      <c r="J26" s="24"/>
    </row>
    <row r="27" customFormat="false" ht="15" hidden="false" customHeight="false" outlineLevel="0" collapsed="false">
      <c r="A27" s="22" t="s">
        <v>43</v>
      </c>
      <c r="B27" s="22"/>
      <c r="C27" s="22"/>
      <c r="D27" s="22"/>
      <c r="E27" s="22"/>
      <c r="F27" s="22"/>
      <c r="G27" s="22"/>
      <c r="H27" s="22"/>
      <c r="I27" s="25" t="n">
        <f aca="false">F24*3600/$H$7</f>
        <v>52.3306311544205</v>
      </c>
      <c r="J27" s="25"/>
    </row>
    <row r="28" customFormat="false" ht="15" hidden="false" customHeight="false" outlineLevel="0" collapsed="false">
      <c r="A28" s="22" t="s">
        <v>44</v>
      </c>
      <c r="B28" s="22"/>
      <c r="C28" s="22"/>
      <c r="D28" s="22"/>
      <c r="E28" s="22"/>
      <c r="F28" s="22"/>
      <c r="G28" s="22"/>
      <c r="H28" s="22"/>
      <c r="I28" s="26" t="n">
        <f aca="false">H24</f>
        <v>180304.948523162</v>
      </c>
      <c r="J28" s="26"/>
    </row>
    <row r="29" customFormat="false" ht="15" hidden="false" customHeight="false" outlineLevel="0" collapsed="false">
      <c r="A29" s="22" t="s">
        <v>45</v>
      </c>
      <c r="B29" s="22"/>
      <c r="C29" s="22"/>
      <c r="D29" s="22"/>
      <c r="E29" s="22"/>
      <c r="F29" s="22"/>
      <c r="G29" s="22"/>
      <c r="H29" s="22"/>
      <c r="I29" s="25" t="n">
        <f aca="false">F24/$H$7/(PI()/4*($C$6/1000)^2)</f>
        <v>1.76991338585288</v>
      </c>
      <c r="J29" s="25"/>
    </row>
    <row r="30" customFormat="false" ht="15" hidden="false" customHeight="false" outlineLevel="0" collapsed="false">
      <c r="A30" s="22" t="s">
        <v>46</v>
      </c>
      <c r="B30" s="22"/>
      <c r="C30" s="22"/>
      <c r="D30" s="22"/>
      <c r="E30" s="22"/>
      <c r="F30" s="22"/>
      <c r="G30" s="22"/>
      <c r="H30" s="22"/>
      <c r="I30" s="27" t="n">
        <f aca="false">(SQRT(1-$C$11^4*(1-D24^2))-D24*$C$11^2)/(SQRT(1-$C$11^4*(1-D24^2))+D24*$C$11^2)*$C$7</f>
        <v>152.379833885535</v>
      </c>
      <c r="J30" s="27"/>
    </row>
    <row r="31" customFormat="false" ht="15" hidden="false" customHeight="false" outlineLevel="0" collapsed="false">
      <c r="A31" s="22" t="s">
        <v>47</v>
      </c>
      <c r="B31" s="22"/>
      <c r="C31" s="22"/>
      <c r="D31" s="22"/>
      <c r="E31" s="22"/>
      <c r="F31" s="22"/>
      <c r="G31" s="22"/>
      <c r="H31" s="22"/>
      <c r="I31" s="28" t="str">
        <f aca="false">IF(AND($C$11&gt;=0.1,$C$11&lt;=0.75,$C$6&gt;=50,$C$6&lt;=1000,$H$6&gt;=12.5,H24&gt;=IF($C$11&lt;=0.56,5000,16000*$C$11^2)),"OK","CHECK")</f>
        <v>OK</v>
      </c>
      <c r="J31" s="28"/>
    </row>
    <row r="33" customFormat="false" ht="30" hidden="false" customHeight="true" outlineLevel="0" collapsed="false">
      <c r="A33" s="29" t="s">
        <v>48</v>
      </c>
      <c r="B33" s="29"/>
      <c r="C33" s="29"/>
      <c r="D33" s="29"/>
      <c r="E33" s="29"/>
      <c r="F33" s="29"/>
      <c r="G33" s="29"/>
      <c r="H33" s="29"/>
      <c r="I33" s="29"/>
      <c r="J33" s="29"/>
    </row>
    <row r="35" customFormat="false" ht="15" hidden="false" customHeight="true" outlineLevel="0" collapsed="false">
      <c r="A35" s="30" t="s">
        <v>49</v>
      </c>
      <c r="B35" s="30"/>
      <c r="C35" s="30"/>
      <c r="D35" s="30"/>
      <c r="E35" s="30"/>
      <c r="F35" s="30" t="s">
        <v>50</v>
      </c>
      <c r="G35" s="30"/>
      <c r="H35" s="30"/>
      <c r="I35" s="30"/>
      <c r="J35" s="30"/>
    </row>
    <row r="36" customFormat="false" ht="21.75" hidden="false" customHeight="true" outlineLevel="0" collapsed="false">
      <c r="A36" s="31" t="s">
        <v>51</v>
      </c>
      <c r="B36" s="31"/>
      <c r="C36" s="31"/>
      <c r="D36" s="31"/>
      <c r="E36" s="31"/>
      <c r="F36" s="31" t="s">
        <v>51</v>
      </c>
      <c r="G36" s="31"/>
      <c r="H36" s="31"/>
      <c r="I36" s="31"/>
      <c r="J36" s="31"/>
    </row>
    <row r="37" customFormat="false" ht="21.75" hidden="false" customHeight="true" outlineLevel="0" collapsed="false">
      <c r="A37" s="31" t="s">
        <v>52</v>
      </c>
      <c r="B37" s="31"/>
      <c r="C37" s="31"/>
      <c r="D37" s="31"/>
      <c r="E37" s="31"/>
      <c r="F37" s="31" t="s">
        <v>52</v>
      </c>
      <c r="G37" s="31"/>
      <c r="H37" s="31"/>
      <c r="I37" s="31"/>
      <c r="J37" s="31"/>
    </row>
    <row r="38" customFormat="false" ht="21.75" hidden="false" customHeight="true" outlineLevel="0" collapsed="false">
      <c r="A38" s="31" t="s">
        <v>53</v>
      </c>
      <c r="B38" s="31"/>
      <c r="C38" s="31"/>
      <c r="D38" s="31"/>
      <c r="E38" s="31"/>
      <c r="F38" s="31" t="s">
        <v>53</v>
      </c>
      <c r="G38" s="31"/>
      <c r="H38" s="31"/>
      <c r="I38" s="31"/>
      <c r="J38" s="31"/>
    </row>
  </sheetData>
  <mergeCells count="88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10:J10"/>
    <mergeCell ref="A11:B11"/>
    <mergeCell ref="C11:E11"/>
    <mergeCell ref="F11:G11"/>
    <mergeCell ref="H11:J11"/>
    <mergeCell ref="A12:B12"/>
    <mergeCell ref="C12:E12"/>
    <mergeCell ref="F12:G12"/>
    <mergeCell ref="H12:J12"/>
    <mergeCell ref="A13:B13"/>
    <mergeCell ref="C13:E13"/>
    <mergeCell ref="A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C18"/>
    <mergeCell ref="D18:E18"/>
    <mergeCell ref="F18:G18"/>
    <mergeCell ref="H18:J18"/>
    <mergeCell ref="B19:C19"/>
    <mergeCell ref="D19:E19"/>
    <mergeCell ref="F19:G19"/>
    <mergeCell ref="H19:J19"/>
    <mergeCell ref="B20:C20"/>
    <mergeCell ref="D20:E20"/>
    <mergeCell ref="F20:G20"/>
    <mergeCell ref="H20:J20"/>
    <mergeCell ref="B21:C21"/>
    <mergeCell ref="D21:E21"/>
    <mergeCell ref="F21:G21"/>
    <mergeCell ref="H21:J21"/>
    <mergeCell ref="B22:C22"/>
    <mergeCell ref="D22:E22"/>
    <mergeCell ref="F22:G22"/>
    <mergeCell ref="H22:J22"/>
    <mergeCell ref="B23:C23"/>
    <mergeCell ref="D23:E23"/>
    <mergeCell ref="F23:G23"/>
    <mergeCell ref="H23:J23"/>
    <mergeCell ref="B24:C24"/>
    <mergeCell ref="D24:E24"/>
    <mergeCell ref="F24:G24"/>
    <mergeCell ref="H24:J24"/>
    <mergeCell ref="A25:H25"/>
    <mergeCell ref="I25:J25"/>
    <mergeCell ref="A26:H26"/>
    <mergeCell ref="I26:J26"/>
    <mergeCell ref="A27:H27"/>
    <mergeCell ref="I27:J27"/>
    <mergeCell ref="A28:H28"/>
    <mergeCell ref="I28:J28"/>
    <mergeCell ref="A29:H29"/>
    <mergeCell ref="I29:J29"/>
    <mergeCell ref="A30:H30"/>
    <mergeCell ref="I30:J30"/>
    <mergeCell ref="A31:H31"/>
    <mergeCell ref="I31:J31"/>
    <mergeCell ref="A33:J33"/>
    <mergeCell ref="A35:E35"/>
    <mergeCell ref="F35:J35"/>
    <mergeCell ref="A36:E36"/>
    <mergeCell ref="F36:J36"/>
    <mergeCell ref="A37:E37"/>
    <mergeCell ref="F37:J37"/>
    <mergeCell ref="A38:E38"/>
    <mergeCell ref="F38:J38"/>
  </mergeCells>
  <conditionalFormatting sqref="A1:J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8" type="list">
      <formula1>"Flange,Corner,D and D/2"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2026-10-14T02:58:02Z</dcterms:created>
  <dc:creator>instrumentationblog.in</dc:creator>
  <dc:description/>
  <dc:language>en-US</dc:language>
  <cp:lastModifiedBy/>
  <dcterms:modified xsi:type="dcterms:W3CDTF">2026-10-14T02:58:02Z</dcterms:modified>
  <cp:revision>0</cp:revision>
  <dc:subject/>
  <dc:title>Orifice Plate Flow Calculator (ISO 5167-2)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